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ício" sheetId="1" state="visible" r:id="rId1"/>
    <sheet name="Config" sheetId="2" state="visible" r:id="rId2"/>
    <sheet name="Dashboard" sheetId="3" state="visible" r:id="rId3"/>
    <sheet name="Movimentos" sheetId="4" state="visible" r:id="rId4"/>
    <sheet name="Stock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#,##0.00 &quot;€&quot;"/>
    <numFmt numFmtId="167" formatCode="0.0%"/>
  </numFmts>
  <fonts count="17">
    <font>
      <name val="Calibri"/>
      <family val="2"/>
      <color theme="1"/>
      <sz val="11"/>
      <scheme val="minor"/>
    </font>
    <font>
      <b val="1"/>
      <color rgb="001B2A41"/>
      <sz val="11"/>
    </font>
    <font>
      <b val="1"/>
      <color rgb="00FFFFFF"/>
      <sz val="10"/>
    </font>
    <font>
      <b val="1"/>
      <color rgb="001B2A41"/>
    </font>
    <font>
      <color rgb="003A4756"/>
      <sz val="10"/>
    </font>
    <font>
      <b val="1"/>
      <color rgb="000F766E"/>
    </font>
    <font>
      <i val="1"/>
      <color rgb="006C7789"/>
      <sz val="9"/>
    </font>
    <font>
      <b val="1"/>
      <color rgb="001B2A41"/>
      <sz val="13"/>
    </font>
    <font>
      <color rgb="006C7789"/>
      <sz val="9"/>
    </font>
    <font>
      <b val="1"/>
      <color rgb="001B2A41"/>
      <sz val="16"/>
    </font>
    <font>
      <b val="1"/>
      <color rgb="006C7789"/>
      <sz val="8"/>
    </font>
    <font>
      <b val="1"/>
      <color rgb="000F766E"/>
      <sz val="13"/>
    </font>
    <font>
      <b val="1"/>
      <color rgb="00B42318"/>
      <sz val="13"/>
    </font>
    <font>
      <b val="1"/>
      <color rgb="007A4B06"/>
      <sz val="13"/>
    </font>
    <font>
      <b val="1"/>
      <color rgb="00B45309"/>
      <sz val="13"/>
    </font>
    <font>
      <b val="1"/>
      <color rgb="001B2A41"/>
      <sz val="22"/>
    </font>
    <font>
      <b val="1"/>
      <color rgb="000F766E"/>
      <sz val="11"/>
    </font>
  </fonts>
  <fills count="6">
    <fill>
      <patternFill/>
    </fill>
    <fill>
      <patternFill patternType="gray125"/>
    </fill>
    <fill>
      <patternFill patternType="solid">
        <fgColor rgb="001B2A41"/>
      </patternFill>
    </fill>
    <fill>
      <patternFill patternType="solid">
        <fgColor rgb="00E6F4F1"/>
      </patternFill>
    </fill>
    <fill>
      <patternFill patternType="solid">
        <fgColor rgb="002A5D9F"/>
      </patternFill>
    </fill>
    <fill>
      <patternFill patternType="solid">
        <fgColor rgb="00F4F7FA"/>
      </patternFill>
    </fill>
  </fills>
  <borders count="2">
    <border>
      <left/>
      <right/>
      <top/>
      <bottom/>
      <diagonal/>
    </border>
    <border>
      <left style="thin">
        <color rgb="00D5DDE5"/>
      </left>
      <right style="thin">
        <color rgb="00D5DDE5"/>
      </right>
      <top style="thin">
        <color rgb="00D5DDE5"/>
      </top>
      <bottom style="thin">
        <color rgb="00D5DDE5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0" pivotButton="0" quotePrefix="0" xfId="0"/>
    <xf numFmtId="0" fontId="5" fillId="3" borderId="1" applyAlignment="1" pivotButton="0" quotePrefix="0" xfId="0">
      <alignment horizontal="center"/>
    </xf>
    <xf numFmtId="0" fontId="9" fillId="0" borderId="0" pivotButton="0" quotePrefix="0" xfId="0"/>
    <xf numFmtId="0" fontId="8" fillId="0" borderId="0" pivotButton="0" quotePrefix="0" xfId="0"/>
    <xf numFmtId="0" fontId="10" fillId="5" borderId="1" applyAlignment="1" pivotButton="0" quotePrefix="0" xfId="0">
      <alignment horizontal="center"/>
    </xf>
    <xf numFmtId="166" fontId="11" fillId="5" borderId="1" applyAlignment="1" pivotButton="0" quotePrefix="0" xfId="0">
      <alignment horizontal="center"/>
    </xf>
    <xf numFmtId="166" fontId="12" fillId="5" borderId="1" applyAlignment="1" pivotButton="0" quotePrefix="0" xfId="0">
      <alignment horizontal="center"/>
    </xf>
    <xf numFmtId="166" fontId="7" fillId="5" borderId="1" applyAlignment="1" pivotButton="0" quotePrefix="0" xfId="0">
      <alignment horizontal="center"/>
    </xf>
    <xf numFmtId="167" fontId="13" fillId="5" borderId="1" applyAlignment="1" pivotButton="0" quotePrefix="0" xfId="0">
      <alignment horizontal="center"/>
    </xf>
    <xf numFmtId="1" fontId="7" fillId="5" borderId="1" applyAlignment="1" pivotButton="0" quotePrefix="0" xfId="0">
      <alignment horizontal="center"/>
    </xf>
    <xf numFmtId="0" fontId="10" fillId="0" borderId="0" pivotButton="0" quotePrefix="0" xfId="0"/>
    <xf numFmtId="166" fontId="11" fillId="0" borderId="0" pivotButton="0" quotePrefix="0" xfId="0"/>
    <xf numFmtId="1" fontId="12" fillId="0" borderId="0" pivotButton="0" quotePrefix="0" xfId="0"/>
    <xf numFmtId="1" fontId="14" fillId="0" borderId="0" pivotButton="0" quotePrefix="0" xfId="0"/>
    <xf numFmtId="1" fontId="13" fillId="0" borderId="0" pivotButton="0" quotePrefix="0" xfId="0"/>
    <xf numFmtId="166" fontId="0" fillId="0" borderId="1" pivotButton="0" quotePrefix="0" xfId="0"/>
    <xf numFmtId="0" fontId="7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2" fillId="4" borderId="1" applyAlignment="1" pivotButton="0" quotePrefix="0" xfId="0">
      <alignment horizontal="center" vertical="center" wrapText="1"/>
    </xf>
    <xf numFmtId="1" fontId="0" fillId="0" borderId="1" pivotButton="0" quotePrefix="0" xfId="0"/>
  </cellXfs>
  <cellStyles count="1">
    <cellStyle name="Normal" xfId="0" builtinId="0" hidden="0"/>
  </cellStyles>
  <dxfs count="7">
    <dxf>
      <fill>
        <patternFill patternType="solid">
          <fgColor rgb="00E8F6EE"/>
        </patternFill>
      </fill>
    </dxf>
    <dxf>
      <fill>
        <patternFill patternType="solid">
          <fgColor rgb="00FDECEA"/>
        </patternFill>
      </fill>
    </dxf>
    <dxf>
      <font>
        <b val="1"/>
        <color rgb="007B1810"/>
      </font>
      <fill>
        <patternFill patternType="solid">
          <fgColor rgb="00F5B7B1"/>
        </patternFill>
      </fill>
    </dxf>
    <dxf>
      <font>
        <b val="1"/>
        <color rgb="008B1A10"/>
      </font>
      <fill>
        <patternFill patternType="solid">
          <fgColor rgb="00F8C9C4"/>
        </patternFill>
      </fill>
    </dxf>
    <dxf>
      <font>
        <b val="1"/>
        <color rgb="007A4B06"/>
      </font>
      <fill>
        <patternFill patternType="solid">
          <fgColor rgb="00FBE3B5"/>
        </patternFill>
      </fill>
    </dxf>
    <dxf>
      <font>
        <b val="1"/>
        <color rgb="0014532D"/>
      </font>
      <fill>
        <patternFill patternType="solid">
          <fgColor rgb="00CDEBD8"/>
        </patternFill>
      </fill>
    </dxf>
    <dxf>
      <font>
        <b val="1"/>
        <color rgb="007A4B06"/>
      </font>
      <fill>
        <patternFill patternType="solid">
          <fgColor rgb="00FFF4E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Receita vs Despesas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'Dashboard'!C16</f>
            </strRef>
          </tx>
          <spPr>
            <a:ln>
              <a:prstDash val="solid"/>
            </a:ln>
          </spPr>
          <cat>
            <numRef>
              <f>'Dashboard'!$B$17:$B$28</f>
            </numRef>
          </cat>
          <val>
            <numRef>
              <f>'Dashboard'!$C$17:$C$28</f>
            </numRef>
          </val>
        </ser>
        <ser>
          <idx val="1"/>
          <order val="1"/>
          <tx>
            <strRef>
              <f>'Dashboard'!D16</f>
            </strRef>
          </tx>
          <spPr>
            <a:ln>
              <a:prstDash val="solid"/>
            </a:ln>
          </spPr>
          <cat>
            <numRef>
              <f>'Dashboard'!$B$17:$B$28</f>
            </numRef>
          </cat>
          <val>
            <numRef>
              <f>'Dashboard'!$D$17:$D$28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6</col>
      <colOff>0</colOff>
      <row>15</row>
      <rowOff>0</rowOff>
    </from>
    <ext cx="720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Movimentos_tbl" displayName="Movimentos_tbl" ref="A4:F50" headerRowCount="1">
  <autoFilter ref="A4:F50"/>
  <tableColumns count="6">
    <tableColumn id="1" name="Data"/>
    <tableColumn id="2" name="Tipo"/>
    <tableColumn id="3" name="Categoria"/>
    <tableColumn id="4" name="Descrição"/>
    <tableColumn id="5" name="Valor"/>
    <tableColumn id="6" name="Método"/>
  </tableColumns>
  <tableStyleInfo name="TableStyleLight9" showFirstColumn="0" showRowStripes="1"/>
</table>
</file>

<file path=xl/tables/table2.xml><?xml version="1.0" encoding="utf-8"?>
<table xmlns="http://schemas.openxmlformats.org/spreadsheetml/2006/main" id="2" name="Stock_tbl" displayName="Stock_tbl" ref="A4:N25" headerRowCount="1">
  <autoFilter ref="A4:N25"/>
  <tableColumns count="14">
    <tableColumn id="1" name="Código"/>
    <tableColumn id="2" name="Artigo"/>
    <tableColumn id="3" name="Categoria"/>
    <tableColumn id="4" name="Fornecedor"/>
    <tableColumn id="5" name="Stock atual"/>
    <tableColumn id="6" name="Stock mín."/>
    <tableColumn id="7" name="Ponto reposição"/>
    <tableColumn id="8" name="Stock-alvo"/>
    <tableColumn id="9" name="Prazo (dias)"/>
    <tableColumn id="10" name="Preço unit."/>
    <tableColumn id="11" name="Valor stock"/>
    <tableColumn id="12" name="Estado"/>
    <tableColumn id="13" name="Sugestão compra"/>
    <tableColumn id="14" name="Custo reposição"/>
  </tableColumns>
  <tableStyleInfo name="TableStyleLight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B2:B26"/>
  <sheetViews>
    <sheetView showGridLines="0" workbookViewId="0">
      <selection activeCell="A1" sqref="A1"/>
    </sheetView>
  </sheetViews>
  <sheetFormatPr baseColWidth="8" defaultRowHeight="15"/>
  <cols>
    <col width="108" customWidth="1" min="2" max="2"/>
  </cols>
  <sheetData>
    <row r="2">
      <c r="B2" s="1" t="inlineStr">
        <is>
          <t>GESTÃO PME</t>
        </is>
      </c>
    </row>
    <row r="3">
      <c r="B3" s="2" t="inlineStr">
        <is>
          <t>Vendas · Caixa · Stock configurável · Dashboard — tudo num só ficheiro</t>
        </is>
      </c>
    </row>
    <row r="5">
      <c r="B5" s="3" t="inlineStr"/>
    </row>
    <row r="6">
      <c r="B6" s="2" t="inlineStr">
        <is>
          <t>COMO USAR</t>
        </is>
      </c>
    </row>
    <row r="7">
      <c r="B7" s="3" t="inlineStr">
        <is>
          <t>1.  Registe cada venda e despesa em «Movimentos» (uma linha por movimento). Tipo/Categoria/Método têm listas.</t>
        </is>
      </c>
    </row>
    <row r="8">
      <c r="B8" s="3" t="inlineStr">
        <is>
          <t>2.  Introdução tipo formulário (sem macros): selecione a tabela e abra «Dados ▸ Formulário»</t>
        </is>
      </c>
    </row>
    <row r="9">
      <c r="B9" s="3" t="inlineStr">
        <is>
          <t xml:space="preserve">     (se não vir o botão: Ficheiro ▸ Opções ▸ Barra de Acesso Rápido ▸ adicionar «Formulário»).</t>
        </is>
      </c>
    </row>
    <row r="10">
      <c r="B10" s="3" t="inlineStr">
        <is>
          <t>3.  Em «Stock», defina por artigo o Stock mín., o Ponto de reposição e o Stock-alvo — são as suas regras.</t>
        </is>
      </c>
    </row>
    <row r="11">
      <c r="B11" s="3" t="inlineStr">
        <is>
          <t xml:space="preserve">     O Estado (OK / Repor / Crítico / Rutura) e a Sugestão de compra aparecem sozinhos.</t>
        </is>
      </c>
    </row>
    <row r="12">
      <c r="B12" s="3" t="inlineStr">
        <is>
          <t>4.  No «Dashboard» escolha o mês e veja receita, despesas, lucro, margem, ticket médio, evolução e</t>
        </is>
      </c>
    </row>
    <row r="13">
      <c r="B13" s="3" t="inlineStr">
        <is>
          <t xml:space="preserve">     os alertas de stock (em rutura, crítico, a repor e custo total de reposição).</t>
        </is>
      </c>
    </row>
    <row r="14">
      <c r="B14" s="3" t="inlineStr"/>
    </row>
    <row r="15">
      <c r="B15" s="2" t="inlineStr">
        <is>
          <t>REGRAS DE STOCK — como funcionam</t>
        </is>
      </c>
    </row>
    <row r="16">
      <c r="B16" s="3" t="inlineStr">
        <is>
          <t>•  OK: acima do ponto de reposição.   Repor: no ponto de reposição ou abaixo.</t>
        </is>
      </c>
    </row>
    <row r="17">
      <c r="B17" s="3" t="inlineStr">
        <is>
          <t>•  Crítico: no stock mínimo ou abaixo.   Rutura: stock a zero.</t>
        </is>
      </c>
    </row>
    <row r="18">
      <c r="B18" s="3" t="inlineStr">
        <is>
          <t>•  Sugestão de compra = Stock-alvo − Stock atual (só quando está no ponto de reposição ou abaixo).</t>
        </is>
      </c>
    </row>
    <row r="19">
      <c r="B19" s="3" t="inlineStr">
        <is>
          <t>•  As categorias, fornecedores e regras globais editam-se na folha «Config».</t>
        </is>
      </c>
    </row>
    <row r="20">
      <c r="B20" s="3" t="inlineStr"/>
    </row>
    <row r="21">
      <c r="B21" s="2" t="inlineStr">
        <is>
          <t>NOTAS</t>
        </is>
      </c>
    </row>
    <row r="22">
      <c r="B22" s="3" t="inlineStr">
        <is>
          <t>•  As linhas de exemplo podem ser apagadas — as fórmulas continuam a funcionar.</t>
        </is>
      </c>
    </row>
    <row r="23">
      <c r="B23" s="3" t="inlineStr">
        <is>
          <t>•  Sem macros: abre no Excel, LibreOffice e Excel Online sem avisos de segurança.</t>
        </is>
      </c>
    </row>
    <row r="24">
      <c r="B24" s="3" t="inlineStr">
        <is>
          <t>•  Quer botões, macros ou um formulário à medida com validações próprias? Isso faço eu por medida (ficheiro .xlsm com VBA).</t>
        </is>
      </c>
    </row>
    <row r="25">
      <c r="B25" s="3" t="inlineStr"/>
    </row>
    <row r="26">
      <c r="B26" s="4" t="inlineStr">
        <is>
          <t>tomasmanarte.dev  ·  contact@tomasmanarte.dev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C7789"/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5" customWidth="1" min="4" max="4"/>
    <col width="18" customWidth="1" min="5" max="5"/>
    <col width="20" customWidth="1" min="6" max="6"/>
  </cols>
  <sheetData>
    <row r="1">
      <c r="A1" s="5" t="inlineStr">
        <is>
          <t>Listas e regras — edite à vontade. Tudo o que muda aqui reflete-se nas outras folhas.</t>
        </is>
      </c>
    </row>
    <row r="3">
      <c r="A3" s="6" t="inlineStr">
        <is>
          <t>Tipos</t>
        </is>
      </c>
      <c r="B3" s="6" t="inlineStr">
        <is>
          <t>Cat. de venda</t>
        </is>
      </c>
      <c r="C3" s="6" t="inlineStr">
        <is>
          <t>Cat. de despesa</t>
        </is>
      </c>
      <c r="D3" s="6" t="inlineStr">
        <is>
          <t>Métodos</t>
        </is>
      </c>
      <c r="E3" s="6" t="inlineStr">
        <is>
          <t>Cat. de stock</t>
        </is>
      </c>
      <c r="F3" s="6" t="inlineStr">
        <is>
          <t>Fornecedores</t>
        </is>
      </c>
    </row>
    <row r="4">
      <c r="A4" s="7" t="inlineStr">
        <is>
          <t>Venda</t>
        </is>
      </c>
      <c r="B4" s="7" t="inlineStr">
        <is>
          <t>Vendas balcão</t>
        </is>
      </c>
      <c r="C4" s="7" t="inlineStr">
        <is>
          <t>Fornecedores</t>
        </is>
      </c>
      <c r="D4" s="7" t="inlineStr">
        <is>
          <t>Dinheiro</t>
        </is>
      </c>
      <c r="E4" s="7" t="inlineStr">
        <is>
          <t>Matéria-prima</t>
        </is>
      </c>
      <c r="F4" s="7" t="inlineStr">
        <is>
          <t>Padaria Central</t>
        </is>
      </c>
    </row>
    <row r="5">
      <c r="A5" s="7" t="inlineStr">
        <is>
          <t>Despesa</t>
        </is>
      </c>
      <c r="B5" s="7" t="inlineStr">
        <is>
          <t>Serviços</t>
        </is>
      </c>
      <c r="C5" s="7" t="inlineStr">
        <is>
          <t>Pessoal</t>
        </is>
      </c>
      <c r="D5" s="7" t="inlineStr">
        <is>
          <t>Multibanco</t>
        </is>
      </c>
      <c r="E5" s="7" t="inlineStr">
        <is>
          <t>Bebidas</t>
        </is>
      </c>
      <c r="F5" s="7" t="inlineStr">
        <is>
          <t>Distribuidora Norte</t>
        </is>
      </c>
    </row>
    <row r="6">
      <c r="B6" s="7" t="inlineStr">
        <is>
          <t>Encomendas</t>
        </is>
      </c>
      <c r="C6" s="7" t="inlineStr">
        <is>
          <t>Renda</t>
        </is>
      </c>
      <c r="D6" s="7" t="inlineStr">
        <is>
          <t>MB Way</t>
        </is>
      </c>
      <c r="E6" s="7" t="inlineStr">
        <is>
          <t>Embalagem</t>
        </is>
      </c>
      <c r="F6" s="7" t="inlineStr">
        <is>
          <t>Café &amp; Cia</t>
        </is>
      </c>
    </row>
    <row r="7">
      <c r="B7" s="7" t="inlineStr">
        <is>
          <t>Online</t>
        </is>
      </c>
      <c r="C7" s="7" t="inlineStr">
        <is>
          <t>Água/Luz/Net</t>
        </is>
      </c>
      <c r="D7" s="7" t="inlineStr">
        <is>
          <t>Transferência</t>
        </is>
      </c>
      <c r="E7" s="7" t="inlineStr">
        <is>
          <t>Limpeza</t>
        </is>
      </c>
      <c r="F7" s="7" t="inlineStr">
        <is>
          <t>Embalar Lda.</t>
        </is>
      </c>
    </row>
    <row r="8">
      <c r="B8" s="7" t="inlineStr">
        <is>
          <t>Outros (venda)</t>
        </is>
      </c>
      <c r="C8" s="7" t="inlineStr">
        <is>
          <t>Equipamento</t>
        </is>
      </c>
      <c r="E8" s="7" t="inlineStr">
        <is>
          <t>Outros (stock)</t>
        </is>
      </c>
      <c r="F8" s="7" t="inlineStr">
        <is>
          <t>Diversos</t>
        </is>
      </c>
    </row>
    <row r="9">
      <c r="C9" s="7" t="inlineStr">
        <is>
          <t>Impostos</t>
        </is>
      </c>
    </row>
    <row r="10">
      <c r="C10" s="7" t="inlineStr">
        <is>
          <t>Outros (despesa)</t>
        </is>
      </c>
    </row>
    <row r="14">
      <c r="A14" s="8" t="inlineStr">
        <is>
          <t>Regras globais de stock (referência)</t>
        </is>
      </c>
    </row>
    <row r="15">
      <c r="A15" s="3" t="inlineStr">
        <is>
          <t>Prazo de entrega padrão (dias)</t>
        </is>
      </c>
      <c r="B15" s="9" t="n">
        <v>3</v>
      </c>
    </row>
    <row r="16">
      <c r="A16" s="3" t="inlineStr">
        <is>
          <t>Margem de segurança sobre o mínimo (%)</t>
        </is>
      </c>
      <c r="B16" s="9" t="n">
        <v>20</v>
      </c>
    </row>
    <row r="17">
      <c r="A17" s="3" t="inlineStr">
        <is>
          <t>Cobertura-alvo em semanas</t>
        </is>
      </c>
      <c r="B17" s="9" t="n">
        <v>4</v>
      </c>
    </row>
    <row r="19">
      <c r="A19" s="4" t="inlineStr">
        <is>
          <t>Estas regras globais são um guia. O que manda são as colunas por artigo na folha Stock (cada artigo pode ter as suas).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B2A41"/>
    <outlinePr summaryBelow="1" summaryRight="1"/>
    <pageSetUpPr/>
  </sheetPr>
  <dimension ref="B2:G37"/>
  <sheetViews>
    <sheetView showGridLines="0" workbookViewId="0">
      <selection activeCell="A1" sqref="A1"/>
    </sheetView>
  </sheetViews>
  <sheetFormatPr baseColWidth="8" defaultRowHeight="15"/>
  <cols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2">
      <c r="B2" s="10" t="inlineStr">
        <is>
          <t>PAINEL DE GESTÃO</t>
        </is>
      </c>
    </row>
    <row r="3">
      <c r="B3" s="11" t="inlineStr">
        <is>
          <t>Tudo calculado a partir de Movimentos e Stock — não precisa de mexer em fórmulas.</t>
        </is>
      </c>
    </row>
    <row r="5">
      <c r="B5" s="8" t="inlineStr">
        <is>
          <t>Ano</t>
        </is>
      </c>
      <c r="C5" s="9" t="n">
        <v>2026</v>
      </c>
    </row>
    <row r="6">
      <c r="B6" s="8" t="inlineStr">
        <is>
          <t>Mês</t>
        </is>
      </c>
      <c r="C6" s="9" t="n">
        <v>6</v>
      </c>
    </row>
    <row r="8">
      <c r="B8" s="12" t="inlineStr">
        <is>
          <t>Receita do mês</t>
        </is>
      </c>
      <c r="C8" s="12" t="inlineStr">
        <is>
          <t>Despesas do mês</t>
        </is>
      </c>
      <c r="D8" s="12" t="inlineStr">
        <is>
          <t>Lucro do mês</t>
        </is>
      </c>
      <c r="E8" s="12" t="inlineStr">
        <is>
          <t>Margem</t>
        </is>
      </c>
      <c r="F8" s="12" t="inlineStr">
        <is>
          <t>Nº de vendas</t>
        </is>
      </c>
      <c r="G8" s="12" t="inlineStr">
        <is>
          <t>Ticket médio</t>
        </is>
      </c>
    </row>
    <row r="9">
      <c r="B9" s="13">
        <f>SUMIFS(Movimentos!$E:$E,Movimentos!$B:$B,"Venda",Movimentos!$A:$A,"&gt;="&amp;DATE($C$5,$C$6,1),Movimentos!$A:$A,"&lt;"&amp;EDATE(DATE($C$5,$C$6,1),1))</f>
        <v/>
      </c>
      <c r="C9" s="14">
        <f>SUMIFS(Movimentos!$E:$E,Movimentos!$B:$B,"Despesa",Movimentos!$A:$A,"&gt;="&amp;DATE($C$5,$C$6,1),Movimentos!$A:$A,"&lt;"&amp;EDATE(DATE($C$5,$C$6,1),1))</f>
        <v/>
      </c>
      <c r="D9" s="15">
        <f>SUMIFS(Movimentos!$E:$E,Movimentos!$B:$B,"Venda",Movimentos!$A:$A,"&gt;="&amp;DATE($C$5,$C$6,1),Movimentos!$A:$A,"&lt;"&amp;EDATE(DATE($C$5,$C$6,1),1))-SUMIFS(Movimentos!$E:$E,Movimentos!$B:$B,"Despesa",Movimentos!$A:$A,"&gt;="&amp;DATE($C$5,$C$6,1),Movimentos!$A:$A,"&lt;"&amp;EDATE(DATE($C$5,$C$6,1),1))</f>
        <v/>
      </c>
      <c r="E9" s="16">
        <f>IF(SUMIFS(Movimentos!$E:$E,Movimentos!$B:$B,"Venda",Movimentos!$A:$A,"&gt;="&amp;DATE($C$5,$C$6,1),Movimentos!$A:$A,"&lt;"&amp;EDATE(DATE($C$5,$C$6,1),1))=0,0,(SUMIFS(Movimentos!$E:$E,Movimentos!$B:$B,"Venda",Movimentos!$A:$A,"&gt;="&amp;DATE($C$5,$C$6,1),Movimentos!$A:$A,"&lt;"&amp;EDATE(DATE($C$5,$C$6,1),1))-SUMIFS(Movimentos!$E:$E,Movimentos!$B:$B,"Despesa",Movimentos!$A:$A,"&gt;="&amp;DATE($C$5,$C$6,1),Movimentos!$A:$A,"&lt;"&amp;EDATE(DATE($C$5,$C$6,1),1)))/SUMIFS(Movimentos!$E:$E,Movimentos!$B:$B,"Venda",Movimentos!$A:$A,"&gt;="&amp;DATE($C$5,$C$6,1),Movimentos!$A:$A,"&lt;"&amp;EDATE(DATE($C$5,$C$6,1),1)))</f>
        <v/>
      </c>
      <c r="F9" s="17">
        <f>COUNTIFS(Movimentos!$B:$B,"Venda",Movimentos!$A:$A,"&gt;="&amp;DATE($C$5,$C$6,1),Movimentos!$A:$A,"&lt;"&amp;EDATE(DATE($C$5,$C$6,1),1))</f>
        <v/>
      </c>
      <c r="G9" s="15">
        <f>IF(COUNTIFS(Movimentos!$B:$B,"Venda",Movimentos!$A:$A,"&gt;="&amp;DATE($C$5,$C$6,1),Movimentos!$A:$A,"&lt;"&amp;EDATE(DATE($C$5,$C$6,1),1))=0,0,SUMIFS(Movimentos!$E:$E,Movimentos!$B:$B,"Venda",Movimentos!$A:$A,"&gt;="&amp;DATE($C$5,$C$6,1),Movimentos!$A:$A,"&lt;"&amp;EDATE(DATE($C$5,$C$6,1),1))/COUNTIFS(Movimentos!$B:$B,"Venda",Movimentos!$A:$A,"&gt;="&amp;DATE($C$5,$C$6,1),Movimentos!$A:$A,"&lt;"&amp;EDATE(DATE($C$5,$C$6,1),1)))</f>
        <v/>
      </c>
    </row>
    <row r="11">
      <c r="B11" s="18" t="inlineStr">
        <is>
          <t>Saldo de caixa (histórico)</t>
        </is>
      </c>
      <c r="C11" s="18" t="inlineStr">
        <is>
          <t>Em rutura</t>
        </is>
      </c>
      <c r="D11" s="18" t="inlineStr">
        <is>
          <t>Crítico</t>
        </is>
      </c>
      <c r="E11" s="18" t="inlineStr">
        <is>
          <t>A repor</t>
        </is>
      </c>
      <c r="F11" s="18" t="inlineStr">
        <is>
          <t>Custo de reposição</t>
        </is>
      </c>
    </row>
    <row r="12">
      <c r="B12" s="19">
        <f>SUMIF(Movimentos!$B:$B,"Venda",Movimentos!$E:$E)-SUMIF(Movimentos!$B:$B,"Despesa",Movimentos!$E:$E)</f>
        <v/>
      </c>
      <c r="C12" s="20">
        <f>COUNTIF(Stock!$L:$L,"Rutura")</f>
        <v/>
      </c>
      <c r="D12" s="21">
        <f>COUNTIF(Stock!$L:$L,"Crítico")</f>
        <v/>
      </c>
      <c r="E12" s="22">
        <f>COUNTIF(Stock!$L:$L,"Repor")</f>
        <v/>
      </c>
      <c r="F12" s="19">
        <f>SUM(Stock!$N:$N)</f>
        <v/>
      </c>
    </row>
    <row r="15">
      <c r="B15" s="5" t="inlineStr">
        <is>
          <t>EVOLUÇÃO MENSAL</t>
        </is>
      </c>
    </row>
    <row r="16">
      <c r="B16" s="6" t="inlineStr">
        <is>
          <t>Mês</t>
        </is>
      </c>
      <c r="C16" s="6" t="inlineStr">
        <is>
          <t>Receita</t>
        </is>
      </c>
      <c r="D16" s="6" t="inlineStr">
        <is>
          <t>Despesas</t>
        </is>
      </c>
      <c r="E16" s="6" t="inlineStr">
        <is>
          <t>Lucro</t>
        </is>
      </c>
    </row>
    <row r="17">
      <c r="B17" s="7" t="inlineStr">
        <is>
          <t>Jan</t>
        </is>
      </c>
      <c r="C17" s="23">
        <f>SUMIFS(Movimentos!$E:$E,Movimentos!$B:$B,"Venda",Movimentos!$A:$A,"&gt;="&amp;DATE($C$5,1,1),Movimentos!$A:$A,"&lt;"&amp;EDATE(DATE($C$5,1,1),1))</f>
        <v/>
      </c>
      <c r="D17" s="23">
        <f>SUMIFS(Movimentos!$E:$E,Movimentos!$B:$B,"Despesa",Movimentos!$A:$A,"&gt;="&amp;DATE($C$5,1,1),Movimentos!$A:$A,"&lt;"&amp;EDATE(DATE($C$5,1,1),1))</f>
        <v/>
      </c>
      <c r="E17" s="23">
        <f>C17-D17</f>
        <v/>
      </c>
    </row>
    <row r="18">
      <c r="B18" s="7" t="inlineStr">
        <is>
          <t>Fev</t>
        </is>
      </c>
      <c r="C18" s="23">
        <f>SUMIFS(Movimentos!$E:$E,Movimentos!$B:$B,"Venda",Movimentos!$A:$A,"&gt;="&amp;DATE($C$5,2,1),Movimentos!$A:$A,"&lt;"&amp;EDATE(DATE($C$5,2,1),1))</f>
        <v/>
      </c>
      <c r="D18" s="23">
        <f>SUMIFS(Movimentos!$E:$E,Movimentos!$B:$B,"Despesa",Movimentos!$A:$A,"&gt;="&amp;DATE($C$5,2,1),Movimentos!$A:$A,"&lt;"&amp;EDATE(DATE($C$5,2,1),1))</f>
        <v/>
      </c>
      <c r="E18" s="23">
        <f>C18-D18</f>
        <v/>
      </c>
    </row>
    <row r="19">
      <c r="B19" s="7" t="inlineStr">
        <is>
          <t>Mar</t>
        </is>
      </c>
      <c r="C19" s="23">
        <f>SUMIFS(Movimentos!$E:$E,Movimentos!$B:$B,"Venda",Movimentos!$A:$A,"&gt;="&amp;DATE($C$5,3,1),Movimentos!$A:$A,"&lt;"&amp;EDATE(DATE($C$5,3,1),1))</f>
        <v/>
      </c>
      <c r="D19" s="23">
        <f>SUMIFS(Movimentos!$E:$E,Movimentos!$B:$B,"Despesa",Movimentos!$A:$A,"&gt;="&amp;DATE($C$5,3,1),Movimentos!$A:$A,"&lt;"&amp;EDATE(DATE($C$5,3,1),1))</f>
        <v/>
      </c>
      <c r="E19" s="23">
        <f>C19-D19</f>
        <v/>
      </c>
    </row>
    <row r="20">
      <c r="B20" s="7" t="inlineStr">
        <is>
          <t>Abr</t>
        </is>
      </c>
      <c r="C20" s="23">
        <f>SUMIFS(Movimentos!$E:$E,Movimentos!$B:$B,"Venda",Movimentos!$A:$A,"&gt;="&amp;DATE($C$5,4,1),Movimentos!$A:$A,"&lt;"&amp;EDATE(DATE($C$5,4,1),1))</f>
        <v/>
      </c>
      <c r="D20" s="23">
        <f>SUMIFS(Movimentos!$E:$E,Movimentos!$B:$B,"Despesa",Movimentos!$A:$A,"&gt;="&amp;DATE($C$5,4,1),Movimentos!$A:$A,"&lt;"&amp;EDATE(DATE($C$5,4,1),1))</f>
        <v/>
      </c>
      <c r="E20" s="23">
        <f>C20-D20</f>
        <v/>
      </c>
    </row>
    <row r="21">
      <c r="B21" s="7" t="inlineStr">
        <is>
          <t>Mai</t>
        </is>
      </c>
      <c r="C21" s="23">
        <f>SUMIFS(Movimentos!$E:$E,Movimentos!$B:$B,"Venda",Movimentos!$A:$A,"&gt;="&amp;DATE($C$5,5,1),Movimentos!$A:$A,"&lt;"&amp;EDATE(DATE($C$5,5,1),1))</f>
        <v/>
      </c>
      <c r="D21" s="23">
        <f>SUMIFS(Movimentos!$E:$E,Movimentos!$B:$B,"Despesa",Movimentos!$A:$A,"&gt;="&amp;DATE($C$5,5,1),Movimentos!$A:$A,"&lt;"&amp;EDATE(DATE($C$5,5,1),1))</f>
        <v/>
      </c>
      <c r="E21" s="23">
        <f>C21-D21</f>
        <v/>
      </c>
    </row>
    <row r="22">
      <c r="B22" s="7" t="inlineStr">
        <is>
          <t>Jun</t>
        </is>
      </c>
      <c r="C22" s="23">
        <f>SUMIFS(Movimentos!$E:$E,Movimentos!$B:$B,"Venda",Movimentos!$A:$A,"&gt;="&amp;DATE($C$5,6,1),Movimentos!$A:$A,"&lt;"&amp;EDATE(DATE($C$5,6,1),1))</f>
        <v/>
      </c>
      <c r="D22" s="23">
        <f>SUMIFS(Movimentos!$E:$E,Movimentos!$B:$B,"Despesa",Movimentos!$A:$A,"&gt;="&amp;DATE($C$5,6,1),Movimentos!$A:$A,"&lt;"&amp;EDATE(DATE($C$5,6,1),1))</f>
        <v/>
      </c>
      <c r="E22" s="23">
        <f>C22-D22</f>
        <v/>
      </c>
    </row>
    <row r="23">
      <c r="B23" s="7" t="inlineStr">
        <is>
          <t>Jul</t>
        </is>
      </c>
      <c r="C23" s="23">
        <f>SUMIFS(Movimentos!$E:$E,Movimentos!$B:$B,"Venda",Movimentos!$A:$A,"&gt;="&amp;DATE($C$5,7,1),Movimentos!$A:$A,"&lt;"&amp;EDATE(DATE($C$5,7,1),1))</f>
        <v/>
      </c>
      <c r="D23" s="23">
        <f>SUMIFS(Movimentos!$E:$E,Movimentos!$B:$B,"Despesa",Movimentos!$A:$A,"&gt;="&amp;DATE($C$5,7,1),Movimentos!$A:$A,"&lt;"&amp;EDATE(DATE($C$5,7,1),1))</f>
        <v/>
      </c>
      <c r="E23" s="23">
        <f>C23-D23</f>
        <v/>
      </c>
    </row>
    <row r="24">
      <c r="B24" s="7" t="inlineStr">
        <is>
          <t>Ago</t>
        </is>
      </c>
      <c r="C24" s="23">
        <f>SUMIFS(Movimentos!$E:$E,Movimentos!$B:$B,"Venda",Movimentos!$A:$A,"&gt;="&amp;DATE($C$5,8,1),Movimentos!$A:$A,"&lt;"&amp;EDATE(DATE($C$5,8,1),1))</f>
        <v/>
      </c>
      <c r="D24" s="23">
        <f>SUMIFS(Movimentos!$E:$E,Movimentos!$B:$B,"Despesa",Movimentos!$A:$A,"&gt;="&amp;DATE($C$5,8,1),Movimentos!$A:$A,"&lt;"&amp;EDATE(DATE($C$5,8,1),1))</f>
        <v/>
      </c>
      <c r="E24" s="23">
        <f>C24-D24</f>
        <v/>
      </c>
    </row>
    <row r="25">
      <c r="B25" s="7" t="inlineStr">
        <is>
          <t>Set</t>
        </is>
      </c>
      <c r="C25" s="23">
        <f>SUMIFS(Movimentos!$E:$E,Movimentos!$B:$B,"Venda",Movimentos!$A:$A,"&gt;="&amp;DATE($C$5,9,1),Movimentos!$A:$A,"&lt;"&amp;EDATE(DATE($C$5,9,1),1))</f>
        <v/>
      </c>
      <c r="D25" s="23">
        <f>SUMIFS(Movimentos!$E:$E,Movimentos!$B:$B,"Despesa",Movimentos!$A:$A,"&gt;="&amp;DATE($C$5,9,1),Movimentos!$A:$A,"&lt;"&amp;EDATE(DATE($C$5,9,1),1))</f>
        <v/>
      </c>
      <c r="E25" s="23">
        <f>C25-D25</f>
        <v/>
      </c>
    </row>
    <row r="26">
      <c r="B26" s="7" t="inlineStr">
        <is>
          <t>Out</t>
        </is>
      </c>
      <c r="C26" s="23">
        <f>SUMIFS(Movimentos!$E:$E,Movimentos!$B:$B,"Venda",Movimentos!$A:$A,"&gt;="&amp;DATE($C$5,10,1),Movimentos!$A:$A,"&lt;"&amp;EDATE(DATE($C$5,10,1),1))</f>
        <v/>
      </c>
      <c r="D26" s="23">
        <f>SUMIFS(Movimentos!$E:$E,Movimentos!$B:$B,"Despesa",Movimentos!$A:$A,"&gt;="&amp;DATE($C$5,10,1),Movimentos!$A:$A,"&lt;"&amp;EDATE(DATE($C$5,10,1),1))</f>
        <v/>
      </c>
      <c r="E26" s="23">
        <f>C26-D26</f>
        <v/>
      </c>
    </row>
    <row r="27">
      <c r="B27" s="7" t="inlineStr">
        <is>
          <t>Nov</t>
        </is>
      </c>
      <c r="C27" s="23">
        <f>SUMIFS(Movimentos!$E:$E,Movimentos!$B:$B,"Venda",Movimentos!$A:$A,"&gt;="&amp;DATE($C$5,11,1),Movimentos!$A:$A,"&lt;"&amp;EDATE(DATE($C$5,11,1),1))</f>
        <v/>
      </c>
      <c r="D27" s="23">
        <f>SUMIFS(Movimentos!$E:$E,Movimentos!$B:$B,"Despesa",Movimentos!$A:$A,"&gt;="&amp;DATE($C$5,11,1),Movimentos!$A:$A,"&lt;"&amp;EDATE(DATE($C$5,11,1),1))</f>
        <v/>
      </c>
      <c r="E27" s="23">
        <f>C27-D27</f>
        <v/>
      </c>
    </row>
    <row r="28">
      <c r="B28" s="7" t="inlineStr">
        <is>
          <t>Dez</t>
        </is>
      </c>
      <c r="C28" s="23">
        <f>SUMIFS(Movimentos!$E:$E,Movimentos!$B:$B,"Venda",Movimentos!$A:$A,"&gt;="&amp;DATE($C$5,12,1),Movimentos!$A:$A,"&lt;"&amp;EDATE(DATE($C$5,12,1),1))</f>
        <v/>
      </c>
      <c r="D28" s="23">
        <f>SUMIFS(Movimentos!$E:$E,Movimentos!$B:$B,"Despesa",Movimentos!$A:$A,"&gt;="&amp;DATE($C$5,12,1),Movimentos!$A:$A,"&lt;"&amp;EDATE(DATE($C$5,12,1),1))</f>
        <v/>
      </c>
      <c r="E28" s="23">
        <f>C28-D28</f>
        <v/>
      </c>
    </row>
    <row r="31">
      <c r="B31" s="5" t="inlineStr">
        <is>
          <t>VENDAS POR CATEGORIA (ano)</t>
        </is>
      </c>
    </row>
    <row r="32">
      <c r="B32" s="6" t="inlineStr">
        <is>
          <t>Categoria</t>
        </is>
      </c>
      <c r="C32" s="6" t="inlineStr">
        <is>
          <t>Total</t>
        </is>
      </c>
    </row>
    <row r="33">
      <c r="B33" s="7" t="inlineStr">
        <is>
          <t>Vendas balcão</t>
        </is>
      </c>
      <c r="C33" s="23">
        <f>SUMIFS(Movimentos!$E:$E,Movimentos!$C:$C,$B33,Movimentos!$A:$A,"&gt;="&amp;DATE($C$5,1,1),Movimentos!$A:$A,"&lt;"&amp;DATE($C$5+1,1,1))</f>
        <v/>
      </c>
    </row>
    <row r="34">
      <c r="B34" s="7" t="inlineStr">
        <is>
          <t>Serviços</t>
        </is>
      </c>
      <c r="C34" s="23">
        <f>SUMIFS(Movimentos!$E:$E,Movimentos!$C:$C,$B34,Movimentos!$A:$A,"&gt;="&amp;DATE($C$5,1,1),Movimentos!$A:$A,"&lt;"&amp;DATE($C$5+1,1,1))</f>
        <v/>
      </c>
    </row>
    <row r="35">
      <c r="B35" s="7" t="inlineStr">
        <is>
          <t>Encomendas</t>
        </is>
      </c>
      <c r="C35" s="23">
        <f>SUMIFS(Movimentos!$E:$E,Movimentos!$C:$C,$B35,Movimentos!$A:$A,"&gt;="&amp;DATE($C$5,1,1),Movimentos!$A:$A,"&lt;"&amp;DATE($C$5+1,1,1))</f>
        <v/>
      </c>
    </row>
    <row r="36">
      <c r="B36" s="7" t="inlineStr">
        <is>
          <t>Online</t>
        </is>
      </c>
      <c r="C36" s="23">
        <f>SUMIFS(Movimentos!$E:$E,Movimentos!$C:$C,$B36,Movimentos!$A:$A,"&gt;="&amp;DATE($C$5,1,1),Movimentos!$A:$A,"&lt;"&amp;DATE($C$5+1,1,1))</f>
        <v/>
      </c>
    </row>
    <row r="37">
      <c r="B37" s="7" t="inlineStr">
        <is>
          <t>Outros (venda)</t>
        </is>
      </c>
      <c r="C37" s="23">
        <f>SUMIFS(Movimentos!$E:$E,Movimentos!$C:$C,$B37,Movimentos!$A:$A,"&gt;="&amp;DATE($C$5,1,1),Movimentos!$A:$A,"&lt;"&amp;DATE($C$5+1,1,1))</f>
        <v/>
      </c>
    </row>
  </sheetData>
  <dataValidations count="1">
    <dataValidation sqref="C6" showDropDown="0" showInputMessage="0" showErrorMessage="0" allowBlank="0" type="list">
      <formula1>"1,2,3,4,5,6,7,8,9,10,11,12"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F766E"/>
    <outlinePr summaryBelow="1" summaryRight="1"/>
    <pageSetUpPr/>
  </sheetPr>
  <dimension ref="A1:F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20" customWidth="1" min="3" max="3"/>
    <col width="34" customWidth="1" min="4" max="4"/>
    <col width="13" customWidth="1" min="5" max="5"/>
    <col width="15" customWidth="1" min="6" max="6"/>
  </cols>
  <sheetData>
    <row r="1">
      <c r="A1" s="24" t="inlineStr">
        <is>
          <t>MOVIMENTOS — registe aqui todas as vendas e despesas</t>
        </is>
      </c>
    </row>
    <row r="2">
      <c r="A2" s="11" t="inlineStr">
        <is>
          <t>Dica: Dados ▸ Formulário abre uma janela de introdução (GUI), sem macros. Tipo/Categoria/Método têm listas.</t>
        </is>
      </c>
    </row>
    <row r="4">
      <c r="A4" s="6" t="inlineStr">
        <is>
          <t>Data</t>
        </is>
      </c>
      <c r="B4" s="6" t="inlineStr">
        <is>
          <t>Tipo</t>
        </is>
      </c>
      <c r="C4" s="6" t="inlineStr">
        <is>
          <t>Categoria</t>
        </is>
      </c>
      <c r="D4" s="6" t="inlineStr">
        <is>
          <t>Descrição</t>
        </is>
      </c>
      <c r="E4" s="6" t="inlineStr">
        <is>
          <t>Valor</t>
        </is>
      </c>
      <c r="F4" s="6" t="inlineStr">
        <is>
          <t>Método</t>
        </is>
      </c>
    </row>
    <row r="5">
      <c r="A5" s="25" t="n">
        <v>46145</v>
      </c>
      <c r="B5" t="inlineStr">
        <is>
          <t>Venda</t>
        </is>
      </c>
      <c r="C5" t="inlineStr">
        <is>
          <t>Vendas balcão</t>
        </is>
      </c>
      <c r="D5" t="inlineStr">
        <is>
          <t>Vendas do dia</t>
        </is>
      </c>
      <c r="E5" s="26" t="n">
        <v>412.5</v>
      </c>
      <c r="F5" t="inlineStr">
        <is>
          <t>Multibanco</t>
        </is>
      </c>
    </row>
    <row r="6">
      <c r="A6" s="25" t="n">
        <v>46145</v>
      </c>
      <c r="B6" t="inlineStr">
        <is>
          <t>Despesa</t>
        </is>
      </c>
      <c r="C6" t="inlineStr">
        <is>
          <t>Fornecedores</t>
        </is>
      </c>
      <c r="D6" t="inlineStr">
        <is>
          <t>Entrega semanal padaria</t>
        </is>
      </c>
      <c r="E6" s="26" t="n">
        <v>148.2</v>
      </c>
      <c r="F6" t="inlineStr">
        <is>
          <t>Transferência</t>
        </is>
      </c>
    </row>
    <row r="7">
      <c r="A7" s="25" t="n">
        <v>46146</v>
      </c>
      <c r="B7" t="inlineStr">
        <is>
          <t>Venda</t>
        </is>
      </c>
      <c r="C7" t="inlineStr">
        <is>
          <t>Vendas balcão</t>
        </is>
      </c>
      <c r="D7" t="inlineStr">
        <is>
          <t>Vendas do dia</t>
        </is>
      </c>
      <c r="E7" s="26" t="n">
        <v>386</v>
      </c>
      <c r="F7" t="inlineStr">
        <is>
          <t>Dinheiro</t>
        </is>
      </c>
    </row>
    <row r="8">
      <c r="A8" s="25" t="n">
        <v>46147</v>
      </c>
      <c r="B8" t="inlineStr">
        <is>
          <t>Venda</t>
        </is>
      </c>
      <c r="C8" t="inlineStr">
        <is>
          <t>Encomendas</t>
        </is>
      </c>
      <c r="D8" t="inlineStr">
        <is>
          <t>Encomenda bolo casamento</t>
        </is>
      </c>
      <c r="E8" s="26" t="n">
        <v>220</v>
      </c>
      <c r="F8" t="inlineStr">
        <is>
          <t>MB Way</t>
        </is>
      </c>
    </row>
    <row r="9">
      <c r="A9" s="25" t="n">
        <v>46148</v>
      </c>
      <c r="B9" t="inlineStr">
        <is>
          <t>Despesa</t>
        </is>
      </c>
      <c r="C9" t="inlineStr">
        <is>
          <t>Água/Luz/Net</t>
        </is>
      </c>
      <c r="D9" t="inlineStr">
        <is>
          <t>Eletricidade maio</t>
        </is>
      </c>
      <c r="E9" s="26" t="n">
        <v>176.4</v>
      </c>
      <c r="F9" t="inlineStr">
        <is>
          <t>Transferência</t>
        </is>
      </c>
    </row>
    <row r="10">
      <c r="A10" s="25" t="n">
        <v>46149</v>
      </c>
      <c r="B10" t="inlineStr">
        <is>
          <t>Venda</t>
        </is>
      </c>
      <c r="C10" t="inlineStr">
        <is>
          <t>Vendas balcão</t>
        </is>
      </c>
      <c r="D10" t="inlineStr">
        <is>
          <t>Vendas do dia</t>
        </is>
      </c>
      <c r="E10" s="26" t="n">
        <v>455.1</v>
      </c>
      <c r="F10" t="inlineStr">
        <is>
          <t>Multibanco</t>
        </is>
      </c>
    </row>
    <row r="11">
      <c r="A11" s="25" t="n">
        <v>46152</v>
      </c>
      <c r="B11" t="inlineStr">
        <is>
          <t>Venda</t>
        </is>
      </c>
      <c r="C11" t="inlineStr">
        <is>
          <t>Serviços</t>
        </is>
      </c>
      <c r="D11" t="inlineStr">
        <is>
          <t>Catering reunião empresa</t>
        </is>
      </c>
      <c r="E11" s="26" t="n">
        <v>340</v>
      </c>
      <c r="F11" t="inlineStr">
        <is>
          <t>Transferência</t>
        </is>
      </c>
    </row>
    <row r="12">
      <c r="A12" s="25" t="n">
        <v>46154</v>
      </c>
      <c r="B12" t="inlineStr">
        <is>
          <t>Despesa</t>
        </is>
      </c>
      <c r="C12" t="inlineStr">
        <is>
          <t>Pessoal</t>
        </is>
      </c>
      <c r="D12" t="inlineStr">
        <is>
          <t>Ordenado part-time</t>
        </is>
      </c>
      <c r="E12" s="26" t="n">
        <v>520</v>
      </c>
      <c r="F12" t="inlineStr">
        <is>
          <t>Transferência</t>
        </is>
      </c>
    </row>
    <row r="13">
      <c r="A13" s="25" t="n">
        <v>46156</v>
      </c>
      <c r="B13" t="inlineStr">
        <is>
          <t>Venda</t>
        </is>
      </c>
      <c r="C13" t="inlineStr">
        <is>
          <t>Vendas balcão</t>
        </is>
      </c>
      <c r="D13" t="inlineStr">
        <is>
          <t>Vendas do dia</t>
        </is>
      </c>
      <c r="E13" s="26" t="n">
        <v>398.75</v>
      </c>
      <c r="F13" t="inlineStr">
        <is>
          <t>Dinheiro</t>
        </is>
      </c>
    </row>
    <row r="14">
      <c r="A14" s="25" t="n">
        <v>46159</v>
      </c>
      <c r="B14" t="inlineStr">
        <is>
          <t>Despesa</t>
        </is>
      </c>
      <c r="C14" t="inlineStr">
        <is>
          <t>Renda</t>
        </is>
      </c>
      <c r="D14" t="inlineStr">
        <is>
          <t>Renda da loja — maio</t>
        </is>
      </c>
      <c r="E14" s="26" t="n">
        <v>650</v>
      </c>
      <c r="F14" t="inlineStr">
        <is>
          <t>Transferência</t>
        </is>
      </c>
    </row>
    <row r="15">
      <c r="A15" s="25" t="n">
        <v>46161</v>
      </c>
      <c r="B15" t="inlineStr">
        <is>
          <t>Venda</t>
        </is>
      </c>
      <c r="C15" t="inlineStr">
        <is>
          <t>Online</t>
        </is>
      </c>
      <c r="D15" t="inlineStr">
        <is>
          <t>Encomendas site</t>
        </is>
      </c>
      <c r="E15" s="26" t="n">
        <v>189.9</v>
      </c>
      <c r="F15" t="inlineStr">
        <is>
          <t>MB Way</t>
        </is>
      </c>
    </row>
    <row r="16">
      <c r="A16" s="25" t="n">
        <v>46166</v>
      </c>
      <c r="B16" t="inlineStr">
        <is>
          <t>Venda</t>
        </is>
      </c>
      <c r="C16" t="inlineStr">
        <is>
          <t>Vendas balcão</t>
        </is>
      </c>
      <c r="D16" t="inlineStr">
        <is>
          <t>Vendas do dia</t>
        </is>
      </c>
      <c r="E16" s="26" t="n">
        <v>441.3</v>
      </c>
      <c r="F16" t="inlineStr">
        <is>
          <t>Multibanco</t>
        </is>
      </c>
    </row>
    <row r="17">
      <c r="A17" s="25" t="n">
        <v>46170</v>
      </c>
      <c r="B17" t="inlineStr">
        <is>
          <t>Despesa</t>
        </is>
      </c>
      <c r="C17" t="inlineStr">
        <is>
          <t>Fornecedores</t>
        </is>
      </c>
      <c r="D17" t="inlineStr">
        <is>
          <t>Embalagens e descartáveis</t>
        </is>
      </c>
      <c r="E17" s="26" t="n">
        <v>96.59999999999999</v>
      </c>
      <c r="F17" t="inlineStr">
        <is>
          <t>Multibanco</t>
        </is>
      </c>
    </row>
    <row r="18">
      <c r="A18" s="25" t="n">
        <v>46173</v>
      </c>
      <c r="B18" t="inlineStr">
        <is>
          <t>Venda</t>
        </is>
      </c>
      <c r="C18" t="inlineStr">
        <is>
          <t>Vendas balcão</t>
        </is>
      </c>
      <c r="D18" t="inlineStr">
        <is>
          <t>Vendas fim de semana</t>
        </is>
      </c>
      <c r="E18" s="26" t="n">
        <v>512.8</v>
      </c>
      <c r="F18" t="inlineStr">
        <is>
          <t>Dinheiro</t>
        </is>
      </c>
    </row>
    <row r="19">
      <c r="A19" s="25" t="n">
        <v>46175</v>
      </c>
      <c r="B19" t="inlineStr">
        <is>
          <t>Venda</t>
        </is>
      </c>
      <c r="C19" t="inlineStr">
        <is>
          <t>Vendas balcão</t>
        </is>
      </c>
      <c r="D19" t="inlineStr">
        <is>
          <t>Vendas do dia</t>
        </is>
      </c>
      <c r="E19" s="26" t="n">
        <v>428</v>
      </c>
      <c r="F19" t="inlineStr">
        <is>
          <t>Multibanco</t>
        </is>
      </c>
    </row>
    <row r="20">
      <c r="A20" s="25" t="n">
        <v>46175</v>
      </c>
      <c r="B20" t="inlineStr">
        <is>
          <t>Despesa</t>
        </is>
      </c>
      <c r="C20" t="inlineStr">
        <is>
          <t>Fornecedores</t>
        </is>
      </c>
      <c r="D20" t="inlineStr">
        <is>
          <t>Entrega semanal padaria</t>
        </is>
      </c>
      <c r="E20" s="26" t="n">
        <v>152.75</v>
      </c>
      <c r="F20" t="inlineStr">
        <is>
          <t>Transferência</t>
        </is>
      </c>
    </row>
    <row r="21">
      <c r="A21" s="25" t="n">
        <v>46178</v>
      </c>
      <c r="B21" t="inlineStr">
        <is>
          <t>Venda</t>
        </is>
      </c>
      <c r="C21" t="inlineStr">
        <is>
          <t>Encomendas</t>
        </is>
      </c>
      <c r="D21" t="inlineStr">
        <is>
          <t>Encomenda batizado</t>
        </is>
      </c>
      <c r="E21" s="26" t="n">
        <v>185</v>
      </c>
      <c r="F21" t="inlineStr">
        <is>
          <t>MB Way</t>
        </is>
      </c>
    </row>
    <row r="22">
      <c r="A22" s="25" t="n">
        <v>46181</v>
      </c>
      <c r="B22" t="inlineStr">
        <is>
          <t>Despesa</t>
        </is>
      </c>
      <c r="C22" t="inlineStr">
        <is>
          <t>Água/Luz/Net</t>
        </is>
      </c>
      <c r="D22" t="inlineStr">
        <is>
          <t>Internet + telefone</t>
        </is>
      </c>
      <c r="E22" s="26" t="n">
        <v>54.9</v>
      </c>
      <c r="F22" t="inlineStr">
        <is>
          <t>Transferência</t>
        </is>
      </c>
    </row>
    <row r="23">
      <c r="A23" s="25" t="n">
        <v>46182</v>
      </c>
      <c r="B23" t="inlineStr">
        <is>
          <t>Venda</t>
        </is>
      </c>
      <c r="C23" t="inlineStr">
        <is>
          <t>Vendas balcão</t>
        </is>
      </c>
      <c r="D23" t="inlineStr">
        <is>
          <t>Vendas do dia</t>
        </is>
      </c>
      <c r="E23" s="26" t="n">
        <v>467.2</v>
      </c>
      <c r="F23" t="inlineStr">
        <is>
          <t>Dinheiro</t>
        </is>
      </c>
    </row>
    <row r="24">
      <c r="A24" s="25" t="n">
        <v>46185</v>
      </c>
      <c r="B24" t="inlineStr">
        <is>
          <t>Venda</t>
        </is>
      </c>
      <c r="C24" t="inlineStr">
        <is>
          <t>Serviços</t>
        </is>
      </c>
      <c r="D24" t="inlineStr">
        <is>
          <t>Workshop de pastelaria</t>
        </is>
      </c>
      <c r="E24" s="26" t="n">
        <v>280</v>
      </c>
      <c r="F24" t="inlineStr">
        <is>
          <t>Transferência</t>
        </is>
      </c>
    </row>
    <row r="25">
      <c r="A25" s="25" t="n">
        <v>46188</v>
      </c>
      <c r="B25" t="inlineStr">
        <is>
          <t>Despesa</t>
        </is>
      </c>
      <c r="C25" t="inlineStr">
        <is>
          <t>Pessoal</t>
        </is>
      </c>
      <c r="D25" t="inlineStr">
        <is>
          <t>Ordenado part-time</t>
        </is>
      </c>
      <c r="E25" s="26" t="n">
        <v>520</v>
      </c>
      <c r="F25" t="inlineStr">
        <is>
          <t>Transferência</t>
        </is>
      </c>
    </row>
    <row r="26">
      <c r="A26" s="25" t="n">
        <v>46190</v>
      </c>
      <c r="B26" t="inlineStr">
        <is>
          <t>Despesa</t>
        </is>
      </c>
      <c r="C26" t="inlineStr">
        <is>
          <t>Renda</t>
        </is>
      </c>
      <c r="D26" t="inlineStr">
        <is>
          <t>Renda da loja — junho</t>
        </is>
      </c>
      <c r="E26" s="26" t="n">
        <v>650</v>
      </c>
      <c r="F26" t="inlineStr">
        <is>
          <t>Transferência</t>
        </is>
      </c>
    </row>
    <row r="27">
      <c r="A27" s="25" t="n">
        <v>46193</v>
      </c>
      <c r="B27" t="inlineStr">
        <is>
          <t>Venda</t>
        </is>
      </c>
      <c r="C27" t="inlineStr">
        <is>
          <t>Vendas balcão</t>
        </is>
      </c>
      <c r="D27" t="inlineStr">
        <is>
          <t>Vendas do dia</t>
        </is>
      </c>
      <c r="E27" s="26" t="n">
        <v>445.6</v>
      </c>
      <c r="F27" t="inlineStr">
        <is>
          <t>Multibanco</t>
        </is>
      </c>
    </row>
    <row r="28">
      <c r="A28" s="25" t="n">
        <v>46196</v>
      </c>
      <c r="B28" t="inlineStr">
        <is>
          <t>Venda</t>
        </is>
      </c>
      <c r="C28" t="inlineStr">
        <is>
          <t>Online</t>
        </is>
      </c>
      <c r="D28" t="inlineStr">
        <is>
          <t>Encomendas site</t>
        </is>
      </c>
      <c r="E28" s="26" t="n">
        <v>214.4</v>
      </c>
      <c r="F28" t="inlineStr">
        <is>
          <t>MB Way</t>
        </is>
      </c>
    </row>
    <row r="29">
      <c r="A29" s="25" t="n">
        <v>46199</v>
      </c>
      <c r="B29" t="inlineStr">
        <is>
          <t>Despesa</t>
        </is>
      </c>
      <c r="C29" t="inlineStr">
        <is>
          <t>Equipamento</t>
        </is>
      </c>
      <c r="D29" t="inlineStr">
        <is>
          <t>Reparação máquina café</t>
        </is>
      </c>
      <c r="E29" s="26" t="n">
        <v>135</v>
      </c>
      <c r="F29" t="inlineStr">
        <is>
          <t>Multibanco</t>
        </is>
      </c>
    </row>
    <row r="30">
      <c r="A30" s="25" t="n">
        <v>46202</v>
      </c>
      <c r="B30" t="inlineStr">
        <is>
          <t>Venda</t>
        </is>
      </c>
      <c r="C30" t="inlineStr">
        <is>
          <t>Vendas balcão</t>
        </is>
      </c>
      <c r="D30" t="inlineStr">
        <is>
          <t>Vendas fim de semana</t>
        </is>
      </c>
      <c r="E30" s="26" t="n">
        <v>538.9</v>
      </c>
      <c r="F30" t="inlineStr">
        <is>
          <t>Dinheiro</t>
        </is>
      </c>
    </row>
    <row r="31">
      <c r="A31" s="25" t="n">
        <v>46204</v>
      </c>
      <c r="B31" t="inlineStr">
        <is>
          <t>Venda</t>
        </is>
      </c>
      <c r="C31" t="inlineStr">
        <is>
          <t>Vendas balcão</t>
        </is>
      </c>
      <c r="D31" t="inlineStr">
        <is>
          <t>Vendas do dia</t>
        </is>
      </c>
      <c r="E31" s="26" t="n">
        <v>431.5</v>
      </c>
      <c r="F31" t="inlineStr">
        <is>
          <t>Multibanco</t>
        </is>
      </c>
    </row>
    <row r="32">
      <c r="A32" s="25" t="n">
        <v>46204</v>
      </c>
      <c r="B32" t="inlineStr">
        <is>
          <t>Despesa</t>
        </is>
      </c>
      <c r="C32" t="inlineStr">
        <is>
          <t>Fornecedores</t>
        </is>
      </c>
      <c r="D32" t="inlineStr">
        <is>
          <t>Entrega semanal padaria</t>
        </is>
      </c>
      <c r="E32" s="26" t="n">
        <v>149.9</v>
      </c>
      <c r="F32" t="inlineStr">
        <is>
          <t>Transferência</t>
        </is>
      </c>
    </row>
    <row r="33">
      <c r="A33" s="25" t="n">
        <v>46206</v>
      </c>
      <c r="B33" t="inlineStr">
        <is>
          <t>Venda</t>
        </is>
      </c>
      <c r="C33" t="inlineStr">
        <is>
          <t>Encomendas</t>
        </is>
      </c>
      <c r="D33" t="inlineStr">
        <is>
          <t>Encomenda aniversário</t>
        </is>
      </c>
      <c r="E33" s="26" t="n">
        <v>160</v>
      </c>
      <c r="F33" t="inlineStr">
        <is>
          <t>MB Way</t>
        </is>
      </c>
    </row>
    <row r="34">
      <c r="A34" s="25" t="n">
        <v>46209</v>
      </c>
      <c r="B34" t="inlineStr">
        <is>
          <t>Venda</t>
        </is>
      </c>
      <c r="C34" t="inlineStr">
        <is>
          <t>Vendas balcão</t>
        </is>
      </c>
      <c r="D34" t="inlineStr">
        <is>
          <t>Vendas do dia</t>
        </is>
      </c>
      <c r="E34" s="26" t="n">
        <v>458.2</v>
      </c>
      <c r="F34" t="inlineStr">
        <is>
          <t>Dinheiro</t>
        </is>
      </c>
    </row>
    <row r="35">
      <c r="A35" s="25" t="n"/>
      <c r="E35" s="26" t="n"/>
    </row>
    <row r="36">
      <c r="A36" s="25" t="n"/>
      <c r="E36" s="26" t="n"/>
    </row>
    <row r="37">
      <c r="A37" s="25" t="n"/>
      <c r="E37" s="26" t="n"/>
    </row>
    <row r="38">
      <c r="A38" s="25" t="n"/>
      <c r="E38" s="26" t="n"/>
    </row>
    <row r="39">
      <c r="A39" s="25" t="n"/>
      <c r="E39" s="26" t="n"/>
    </row>
    <row r="40">
      <c r="A40" s="25" t="n"/>
      <c r="E40" s="26" t="n"/>
    </row>
    <row r="41">
      <c r="A41" s="25" t="n"/>
      <c r="E41" s="26" t="n"/>
    </row>
    <row r="42">
      <c r="A42" s="25" t="n"/>
      <c r="E42" s="26" t="n"/>
    </row>
    <row r="43">
      <c r="A43" s="25" t="n"/>
      <c r="E43" s="26" t="n"/>
    </row>
    <row r="44">
      <c r="A44" s="25" t="n"/>
      <c r="E44" s="26" t="n"/>
    </row>
    <row r="45">
      <c r="A45" s="25" t="n"/>
      <c r="E45" s="26" t="n"/>
    </row>
    <row r="46">
      <c r="A46" s="25" t="n"/>
      <c r="E46" s="26" t="n"/>
    </row>
    <row r="47">
      <c r="A47" s="25" t="n"/>
      <c r="E47" s="26" t="n"/>
    </row>
    <row r="48">
      <c r="A48" s="25" t="n"/>
      <c r="E48" s="26" t="n"/>
    </row>
    <row r="49">
      <c r="A49" s="25" t="n"/>
      <c r="E49" s="26" t="n"/>
    </row>
    <row r="50">
      <c r="A50" s="25" t="n"/>
      <c r="E50" s="26" t="n"/>
    </row>
  </sheetData>
  <conditionalFormatting sqref="A5:F600">
    <cfRule type="expression" priority="1" dxfId="0">
      <formula>$B5="Venda"</formula>
    </cfRule>
    <cfRule type="expression" priority="2" dxfId="1">
      <formula>$B5="Despesa"</formula>
    </cfRule>
  </conditionalFormatting>
  <dataValidations count="3">
    <dataValidation sqref="B5:B600" showDropDown="0" showInputMessage="0" showErrorMessage="1" allowBlank="1" errorTitle="Tipo inválido" error="Escolha Venda ou Despesa." type="list">
      <formula1>=Config!$A$4:$A$5</formula1>
    </dataValidation>
    <dataValidation sqref="C5:C600" showDropDown="0" showInputMessage="0" showErrorMessage="0" allowBlank="1" type="list">
      <formula1>=Config!$B$4:$C$10</formula1>
    </dataValidation>
    <dataValidation sqref="F5:F600" showDropDown="0" showInputMessage="0" showErrorMessage="0" allowBlank="1" type="list">
      <formula1>=Config!$D$4:$D$7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2A5D9F"/>
    <outlinePr summaryBelow="1" summaryRight="1"/>
    <pageSetUpPr/>
  </sheetPr>
  <dimension ref="A1:N25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4" customWidth="1" min="2" max="2"/>
    <col width="15" customWidth="1" min="3" max="3"/>
    <col width="17" customWidth="1" min="4" max="4"/>
    <col width="10" customWidth="1" min="5" max="5"/>
    <col width="9" customWidth="1" min="6" max="6"/>
    <col width="11" customWidth="1" min="7" max="7"/>
    <col width="10" customWidth="1" min="8" max="8"/>
    <col width="9" customWidth="1" min="9" max="9"/>
    <col width="11" customWidth="1" min="10" max="10"/>
    <col width="12" customWidth="1" min="11" max="11"/>
    <col width="11" customWidth="1" min="12" max="12"/>
    <col width="13" customWidth="1" min="13" max="13"/>
    <col width="13" customWidth="1" min="14" max="14"/>
  </cols>
  <sheetData>
    <row r="1">
      <c r="A1" s="24" t="inlineStr">
        <is>
          <t>STOCK — inventário com regras configuráveis e alertas automáticos</t>
        </is>
      </c>
    </row>
    <row r="2">
      <c r="A2" s="11" t="inlineStr">
        <is>
          <t>Edite por artigo: Stock mín., Ponto de reposição e Stock-alvo. O Estado e a Sugestão de compra calculam-se sozinhos.</t>
        </is>
      </c>
    </row>
    <row r="4">
      <c r="A4" s="27" t="inlineStr">
        <is>
          <t>Código</t>
        </is>
      </c>
      <c r="B4" s="27" t="inlineStr">
        <is>
          <t>Artigo</t>
        </is>
      </c>
      <c r="C4" s="27" t="inlineStr">
        <is>
          <t>Categoria</t>
        </is>
      </c>
      <c r="D4" s="27" t="inlineStr">
        <is>
          <t>Fornecedor</t>
        </is>
      </c>
      <c r="E4" s="27" t="inlineStr">
        <is>
          <t>Stock atual</t>
        </is>
      </c>
      <c r="F4" s="27" t="inlineStr">
        <is>
          <t>Stock mín.</t>
        </is>
      </c>
      <c r="G4" s="27" t="inlineStr">
        <is>
          <t>Ponto reposição</t>
        </is>
      </c>
      <c r="H4" s="27" t="inlineStr">
        <is>
          <t>Stock-alvo</t>
        </is>
      </c>
      <c r="I4" s="27" t="inlineStr">
        <is>
          <t>Prazo (dias)</t>
        </is>
      </c>
      <c r="J4" s="27" t="inlineStr">
        <is>
          <t>Preço unit.</t>
        </is>
      </c>
      <c r="K4" s="27" t="inlineStr">
        <is>
          <t>Valor stock</t>
        </is>
      </c>
      <c r="L4" s="27" t="inlineStr">
        <is>
          <t>Estado</t>
        </is>
      </c>
      <c r="M4" s="27" t="inlineStr">
        <is>
          <t>Sugestão compra</t>
        </is>
      </c>
      <c r="N4" s="27" t="inlineStr">
        <is>
          <t>Custo reposição</t>
        </is>
      </c>
    </row>
    <row r="5">
      <c r="A5" s="7" t="inlineStr">
        <is>
          <t>MP001</t>
        </is>
      </c>
      <c r="B5" s="7" t="inlineStr">
        <is>
          <t>Farinha T65 (kg)</t>
        </is>
      </c>
      <c r="C5" s="7" t="inlineStr">
        <is>
          <t>Matéria-prima</t>
        </is>
      </c>
      <c r="D5" s="7" t="inlineStr">
        <is>
          <t>Padaria Central</t>
        </is>
      </c>
      <c r="E5" s="28" t="n">
        <v>42</v>
      </c>
      <c r="F5" s="28" t="n">
        <v>15</v>
      </c>
      <c r="G5" s="28" t="n">
        <v>25</v>
      </c>
      <c r="H5" s="28" t="n">
        <v>60</v>
      </c>
      <c r="I5" s="28" t="n">
        <v>3</v>
      </c>
      <c r="J5" s="23" t="n">
        <v>0.85</v>
      </c>
      <c r="K5" s="23">
        <f>IF($B5="","",$E5*$J5)</f>
        <v/>
      </c>
      <c r="L5" s="7">
        <f>IF($B5="","",IF($E5&lt;=0,"Rutura",IF($E5&lt;=$F5,"Crítico",IF($E5&lt;=$G5,"Repor","OK"))))</f>
        <v/>
      </c>
      <c r="M5" s="28">
        <f>IF($B5="","",IF($E5&lt;=$G5,MAX(0,$H5-$E5),0))</f>
        <v/>
      </c>
      <c r="N5" s="23">
        <f>IF($B5="","",$M5*$J5)</f>
        <v/>
      </c>
    </row>
    <row r="6">
      <c r="A6" s="7" t="inlineStr">
        <is>
          <t>MP002</t>
        </is>
      </c>
      <c r="B6" s="7" t="inlineStr">
        <is>
          <t>Açúcar (kg)</t>
        </is>
      </c>
      <c r="C6" s="7" t="inlineStr">
        <is>
          <t>Matéria-prima</t>
        </is>
      </c>
      <c r="D6" s="7" t="inlineStr">
        <is>
          <t>Distribuidora Norte</t>
        </is>
      </c>
      <c r="E6" s="28" t="n">
        <v>18</v>
      </c>
      <c r="F6" s="28" t="n">
        <v>10</v>
      </c>
      <c r="G6" s="28" t="n">
        <v>16</v>
      </c>
      <c r="H6" s="28" t="n">
        <v>40</v>
      </c>
      <c r="I6" s="28" t="n">
        <v>3</v>
      </c>
      <c r="J6" s="23" t="n">
        <v>1.1</v>
      </c>
      <c r="K6" s="23">
        <f>IF($B6="","",$E6*$J6)</f>
        <v/>
      </c>
      <c r="L6" s="7">
        <f>IF($B6="","",IF($E6&lt;=0,"Rutura",IF($E6&lt;=$F6,"Crítico",IF($E6&lt;=$G6,"Repor","OK"))))</f>
        <v/>
      </c>
      <c r="M6" s="28">
        <f>IF($B6="","",IF($E6&lt;=$G6,MAX(0,$H6-$E6),0))</f>
        <v/>
      </c>
      <c r="N6" s="23">
        <f>IF($B6="","",$M6*$J6)</f>
        <v/>
      </c>
    </row>
    <row r="7">
      <c r="A7" s="7" t="inlineStr">
        <is>
          <t>MP003</t>
        </is>
      </c>
      <c r="B7" s="7" t="inlineStr">
        <is>
          <t>Manteiga (kg)</t>
        </is>
      </c>
      <c r="C7" s="7" t="inlineStr">
        <is>
          <t>Matéria-prima</t>
        </is>
      </c>
      <c r="D7" s="7" t="inlineStr">
        <is>
          <t>Distribuidora Norte</t>
        </is>
      </c>
      <c r="E7" s="28" t="n">
        <v>6</v>
      </c>
      <c r="F7" s="28" t="n">
        <v>8</v>
      </c>
      <c r="G7" s="28" t="n">
        <v>12</v>
      </c>
      <c r="H7" s="28" t="n">
        <v>24</v>
      </c>
      <c r="I7" s="28" t="n">
        <v>2</v>
      </c>
      <c r="J7" s="23" t="n">
        <v>6.4</v>
      </c>
      <c r="K7" s="23">
        <f>IF($B7="","",$E7*$J7)</f>
        <v/>
      </c>
      <c r="L7" s="7">
        <f>IF($B7="","",IF($E7&lt;=0,"Rutura",IF($E7&lt;=$F7,"Crítico",IF($E7&lt;=$G7,"Repor","OK"))))</f>
        <v/>
      </c>
      <c r="M7" s="28">
        <f>IF($B7="","",IF($E7&lt;=$G7,MAX(0,$H7-$E7),0))</f>
        <v/>
      </c>
      <c r="N7" s="23">
        <f>IF($B7="","",$M7*$J7)</f>
        <v/>
      </c>
    </row>
    <row r="8">
      <c r="A8" s="7" t="inlineStr">
        <is>
          <t>MP004</t>
        </is>
      </c>
      <c r="B8" s="7" t="inlineStr">
        <is>
          <t>Ovos (dúzia)</t>
        </is>
      </c>
      <c r="C8" s="7" t="inlineStr">
        <is>
          <t>Matéria-prima</t>
        </is>
      </c>
      <c r="D8" s="7" t="inlineStr">
        <is>
          <t>Padaria Central</t>
        </is>
      </c>
      <c r="E8" s="28" t="n">
        <v>30</v>
      </c>
      <c r="F8" s="28" t="n">
        <v>12</v>
      </c>
      <c r="G8" s="28" t="n">
        <v>20</v>
      </c>
      <c r="H8" s="28" t="n">
        <v>48</v>
      </c>
      <c r="I8" s="28" t="n">
        <v>2</v>
      </c>
      <c r="J8" s="23" t="n">
        <v>2.2</v>
      </c>
      <c r="K8" s="23">
        <f>IF($B8="","",$E8*$J8)</f>
        <v/>
      </c>
      <c r="L8" s="7">
        <f>IF($B8="","",IF($E8&lt;=0,"Rutura",IF($E8&lt;=$F8,"Crítico",IF($E8&lt;=$G8,"Repor","OK"))))</f>
        <v/>
      </c>
      <c r="M8" s="28">
        <f>IF($B8="","",IF($E8&lt;=$G8,MAX(0,$H8-$E8),0))</f>
        <v/>
      </c>
      <c r="N8" s="23">
        <f>IF($B8="","",$M8*$J8)</f>
        <v/>
      </c>
    </row>
    <row r="9">
      <c r="A9" s="7" t="inlineStr">
        <is>
          <t>BE001</t>
        </is>
      </c>
      <c r="B9" s="7" t="inlineStr">
        <is>
          <t>Café em grão (kg)</t>
        </is>
      </c>
      <c r="C9" s="7" t="inlineStr">
        <is>
          <t>Bebidas</t>
        </is>
      </c>
      <c r="D9" s="7" t="inlineStr">
        <is>
          <t>Café &amp; Cia</t>
        </is>
      </c>
      <c r="E9" s="28" t="n">
        <v>9</v>
      </c>
      <c r="F9" s="28" t="n">
        <v>5</v>
      </c>
      <c r="G9" s="28" t="n">
        <v>8</v>
      </c>
      <c r="H9" s="28" t="n">
        <v>20</v>
      </c>
      <c r="I9" s="28" t="n">
        <v>5</v>
      </c>
      <c r="J9" s="23" t="n">
        <v>14.5</v>
      </c>
      <c r="K9" s="23">
        <f>IF($B9="","",$E9*$J9)</f>
        <v/>
      </c>
      <c r="L9" s="7">
        <f>IF($B9="","",IF($E9&lt;=0,"Rutura",IF($E9&lt;=$F9,"Crítico",IF($E9&lt;=$G9,"Repor","OK"))))</f>
        <v/>
      </c>
      <c r="M9" s="28">
        <f>IF($B9="","",IF($E9&lt;=$G9,MAX(0,$H9-$E9),0))</f>
        <v/>
      </c>
      <c r="N9" s="23">
        <f>IF($B9="","",$M9*$J9)</f>
        <v/>
      </c>
    </row>
    <row r="10">
      <c r="A10" s="7" t="inlineStr">
        <is>
          <t>BE002</t>
        </is>
      </c>
      <c r="B10" s="7" t="inlineStr">
        <is>
          <t>Leite (L)</t>
        </is>
      </c>
      <c r="C10" s="7" t="inlineStr">
        <is>
          <t>Bebidas</t>
        </is>
      </c>
      <c r="D10" s="7" t="inlineStr">
        <is>
          <t>Distribuidora Norte</t>
        </is>
      </c>
      <c r="E10" s="28" t="n">
        <v>24</v>
      </c>
      <c r="F10" s="28" t="n">
        <v>20</v>
      </c>
      <c r="G10" s="28" t="n">
        <v>30</v>
      </c>
      <c r="H10" s="28" t="n">
        <v>60</v>
      </c>
      <c r="I10" s="28" t="n">
        <v>2</v>
      </c>
      <c r="J10" s="23" t="n">
        <v>0.92</v>
      </c>
      <c r="K10" s="23">
        <f>IF($B10="","",$E10*$J10)</f>
        <v/>
      </c>
      <c r="L10" s="7">
        <f>IF($B10="","",IF($E10&lt;=0,"Rutura",IF($E10&lt;=$F10,"Crítico",IF($E10&lt;=$G10,"Repor","OK"))))</f>
        <v/>
      </c>
      <c r="M10" s="28">
        <f>IF($B10="","",IF($E10&lt;=$G10,MAX(0,$H10-$E10),0))</f>
        <v/>
      </c>
      <c r="N10" s="23">
        <f>IF($B10="","",$M10*$J10)</f>
        <v/>
      </c>
    </row>
    <row r="11">
      <c r="A11" s="7" t="inlineStr">
        <is>
          <t>MP005</t>
        </is>
      </c>
      <c r="B11" s="7" t="inlineStr">
        <is>
          <t>Chocolate 70% (kg)</t>
        </is>
      </c>
      <c r="C11" s="7" t="inlineStr">
        <is>
          <t>Matéria-prima</t>
        </is>
      </c>
      <c r="D11" s="7" t="inlineStr">
        <is>
          <t>Distribuidora Norte</t>
        </is>
      </c>
      <c r="E11" s="28" t="n">
        <v>0</v>
      </c>
      <c r="F11" s="28" t="n">
        <v>4</v>
      </c>
      <c r="G11" s="28" t="n">
        <v>6</v>
      </c>
      <c r="H11" s="28" t="n">
        <v>16</v>
      </c>
      <c r="I11" s="28" t="n">
        <v>4</v>
      </c>
      <c r="J11" s="23" t="n">
        <v>9.800000000000001</v>
      </c>
      <c r="K11" s="23">
        <f>IF($B11="","",$E11*$J11)</f>
        <v/>
      </c>
      <c r="L11" s="7">
        <f>IF($B11="","",IF($E11&lt;=0,"Rutura",IF($E11&lt;=$F11,"Crítico",IF($E11&lt;=$G11,"Repor","OK"))))</f>
        <v/>
      </c>
      <c r="M11" s="28">
        <f>IF($B11="","",IF($E11&lt;=$G11,MAX(0,$H11-$E11),0))</f>
        <v/>
      </c>
      <c r="N11" s="23">
        <f>IF($B11="","",$M11*$J11)</f>
        <v/>
      </c>
    </row>
    <row r="12">
      <c r="A12" s="7" t="inlineStr">
        <is>
          <t>EM001</t>
        </is>
      </c>
      <c r="B12" s="7" t="inlineStr">
        <is>
          <t>Caixas de bolo (un)</t>
        </is>
      </c>
      <c r="C12" s="7" t="inlineStr">
        <is>
          <t>Embalagem</t>
        </is>
      </c>
      <c r="D12" s="7" t="inlineStr">
        <is>
          <t>Embalar Lda.</t>
        </is>
      </c>
      <c r="E12" s="28" t="n">
        <v>85</v>
      </c>
      <c r="F12" s="28" t="n">
        <v>50</v>
      </c>
      <c r="G12" s="28" t="n">
        <v>80</v>
      </c>
      <c r="H12" s="28" t="n">
        <v>200</v>
      </c>
      <c r="I12" s="28" t="n">
        <v>7</v>
      </c>
      <c r="J12" s="23" t="n">
        <v>0.35</v>
      </c>
      <c r="K12" s="23">
        <f>IF($B12="","",$E12*$J12)</f>
        <v/>
      </c>
      <c r="L12" s="7">
        <f>IF($B12="","",IF($E12&lt;=0,"Rutura",IF($E12&lt;=$F12,"Crítico",IF($E12&lt;=$G12,"Repor","OK"))))</f>
        <v/>
      </c>
      <c r="M12" s="28">
        <f>IF($B12="","",IF($E12&lt;=$G12,MAX(0,$H12-$E12),0))</f>
        <v/>
      </c>
      <c r="N12" s="23">
        <f>IF($B12="","",$M12*$J12)</f>
        <v/>
      </c>
    </row>
    <row r="13">
      <c r="A13" s="7" t="inlineStr">
        <is>
          <t>EM002</t>
        </is>
      </c>
      <c r="B13" s="7" t="inlineStr">
        <is>
          <t>Sacos de papel (un)</t>
        </is>
      </c>
      <c r="C13" s="7" t="inlineStr">
        <is>
          <t>Embalagem</t>
        </is>
      </c>
      <c r="D13" s="7" t="inlineStr">
        <is>
          <t>Embalar Lda.</t>
        </is>
      </c>
      <c r="E13" s="28" t="n">
        <v>140</v>
      </c>
      <c r="F13" s="28" t="n">
        <v>100</v>
      </c>
      <c r="G13" s="28" t="n">
        <v>160</v>
      </c>
      <c r="H13" s="28" t="n">
        <v>400</v>
      </c>
      <c r="I13" s="28" t="n">
        <v>7</v>
      </c>
      <c r="J13" s="23" t="n">
        <v>0.09</v>
      </c>
      <c r="K13" s="23">
        <f>IF($B13="","",$E13*$J13)</f>
        <v/>
      </c>
      <c r="L13" s="7">
        <f>IF($B13="","",IF($E13&lt;=0,"Rutura",IF($E13&lt;=$F13,"Crítico",IF($E13&lt;=$G13,"Repor","OK"))))</f>
        <v/>
      </c>
      <c r="M13" s="28">
        <f>IF($B13="","",IF($E13&lt;=$G13,MAX(0,$H13-$E13),0))</f>
        <v/>
      </c>
      <c r="N13" s="23">
        <f>IF($B13="","",$M13*$J13)</f>
        <v/>
      </c>
    </row>
    <row r="14">
      <c r="A14" s="7" t="inlineStr">
        <is>
          <t>EM003</t>
        </is>
      </c>
      <c r="B14" s="7" t="inlineStr">
        <is>
          <t>Guardanapos (emb.)</t>
        </is>
      </c>
      <c r="C14" s="7" t="inlineStr">
        <is>
          <t>Embalagem</t>
        </is>
      </c>
      <c r="D14" s="7" t="inlineStr">
        <is>
          <t>Embalar Lda.</t>
        </is>
      </c>
      <c r="E14" s="28" t="n">
        <v>12</v>
      </c>
      <c r="F14" s="28" t="n">
        <v>10</v>
      </c>
      <c r="G14" s="28" t="n">
        <v>16</v>
      </c>
      <c r="H14" s="28" t="n">
        <v>40</v>
      </c>
      <c r="I14" s="28" t="n">
        <v>7</v>
      </c>
      <c r="J14" s="23" t="n">
        <v>1.6</v>
      </c>
      <c r="K14" s="23">
        <f>IF($B14="","",$E14*$J14)</f>
        <v/>
      </c>
      <c r="L14" s="7">
        <f>IF($B14="","",IF($E14&lt;=0,"Rutura",IF($E14&lt;=$F14,"Crítico",IF($E14&lt;=$G14,"Repor","OK"))))</f>
        <v/>
      </c>
      <c r="M14" s="28">
        <f>IF($B14="","",IF($E14&lt;=$G14,MAX(0,$H14-$E14),0))</f>
        <v/>
      </c>
      <c r="N14" s="23">
        <f>IF($B14="","",$M14*$J14)</f>
        <v/>
      </c>
    </row>
    <row r="15">
      <c r="A15" s="7" t="inlineStr">
        <is>
          <t>MP006</t>
        </is>
      </c>
      <c r="B15" s="7" t="inlineStr">
        <is>
          <t>Fermento (kg)</t>
        </is>
      </c>
      <c r="C15" s="7" t="inlineStr">
        <is>
          <t>Matéria-prima</t>
        </is>
      </c>
      <c r="D15" s="7" t="inlineStr">
        <is>
          <t>Padaria Central</t>
        </is>
      </c>
      <c r="E15" s="28" t="n">
        <v>3</v>
      </c>
      <c r="F15" s="28" t="n">
        <v>2</v>
      </c>
      <c r="G15" s="28" t="n">
        <v>4</v>
      </c>
      <c r="H15" s="28" t="n">
        <v>10</v>
      </c>
      <c r="I15" s="28" t="n">
        <v>3</v>
      </c>
      <c r="J15" s="23" t="n">
        <v>4.2</v>
      </c>
      <c r="K15" s="23">
        <f>IF($B15="","",$E15*$J15)</f>
        <v/>
      </c>
      <c r="L15" s="7">
        <f>IF($B15="","",IF($E15&lt;=0,"Rutura",IF($E15&lt;=$F15,"Crítico",IF($E15&lt;=$G15,"Repor","OK"))))</f>
        <v/>
      </c>
      <c r="M15" s="28">
        <f>IF($B15="","",IF($E15&lt;=$G15,MAX(0,$H15-$E15),0))</f>
        <v/>
      </c>
      <c r="N15" s="23">
        <f>IF($B15="","",$M15*$J15)</f>
        <v/>
      </c>
    </row>
    <row r="16">
      <c r="A16" s="7" t="inlineStr">
        <is>
          <t>EM004</t>
        </is>
      </c>
      <c r="B16" s="7" t="inlineStr">
        <is>
          <t>Copos take-away (un)</t>
        </is>
      </c>
      <c r="C16" s="7" t="inlineStr">
        <is>
          <t>Embalagem</t>
        </is>
      </c>
      <c r="D16" s="7" t="inlineStr">
        <is>
          <t>Embalar Lda.</t>
        </is>
      </c>
      <c r="E16" s="28" t="n">
        <v>60</v>
      </c>
      <c r="F16" s="28" t="n">
        <v>80</v>
      </c>
      <c r="G16" s="28" t="n">
        <v>120</v>
      </c>
      <c r="H16" s="28" t="n">
        <v>300</v>
      </c>
      <c r="I16" s="28" t="n">
        <v>7</v>
      </c>
      <c r="J16" s="23" t="n">
        <v>0.12</v>
      </c>
      <c r="K16" s="23">
        <f>IF($B16="","",$E16*$J16)</f>
        <v/>
      </c>
      <c r="L16" s="7">
        <f>IF($B16="","",IF($E16&lt;=0,"Rutura",IF($E16&lt;=$F16,"Crítico",IF($E16&lt;=$G16,"Repor","OK"))))</f>
        <v/>
      </c>
      <c r="M16" s="28">
        <f>IF($B16="","",IF($E16&lt;=$G16,MAX(0,$H16-$E16),0))</f>
        <v/>
      </c>
      <c r="N16" s="23">
        <f>IF($B16="","",$M16*$J16)</f>
        <v/>
      </c>
    </row>
    <row r="17">
      <c r="A17" s="7" t="inlineStr">
        <is>
          <t>LM001</t>
        </is>
      </c>
      <c r="B17" s="7" t="inlineStr">
        <is>
          <t>Detergente loiça (L)</t>
        </is>
      </c>
      <c r="C17" s="7" t="inlineStr">
        <is>
          <t>Limpeza</t>
        </is>
      </c>
      <c r="D17" s="7" t="inlineStr">
        <is>
          <t>Diversos</t>
        </is>
      </c>
      <c r="E17" s="28" t="n">
        <v>7</v>
      </c>
      <c r="F17" s="28" t="n">
        <v>3</v>
      </c>
      <c r="G17" s="28" t="n">
        <v>5</v>
      </c>
      <c r="H17" s="28" t="n">
        <v>12</v>
      </c>
      <c r="I17" s="28" t="n">
        <v>5</v>
      </c>
      <c r="J17" s="23" t="n">
        <v>2.3</v>
      </c>
      <c r="K17" s="23">
        <f>IF($B17="","",$E17*$J17)</f>
        <v/>
      </c>
      <c r="L17" s="7">
        <f>IF($B17="","",IF($E17&lt;=0,"Rutura",IF($E17&lt;=$F17,"Crítico",IF($E17&lt;=$G17,"Repor","OK"))))</f>
        <v/>
      </c>
      <c r="M17" s="28">
        <f>IF($B17="","",IF($E17&lt;=$G17,MAX(0,$H17-$E17),0))</f>
        <v/>
      </c>
      <c r="N17" s="23">
        <f>IF($B17="","",$M17*$J17)</f>
        <v/>
      </c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23">
        <f>IF($B18="","",$E18*$J18)</f>
        <v/>
      </c>
      <c r="L18" s="7">
        <f>IF($B18="","",IF($E18&lt;=0,"Rutura",IF($E18&lt;=$F18,"Crítico",IF($E18&lt;=$G18,"Repor","OK"))))</f>
        <v/>
      </c>
      <c r="M18" s="28">
        <f>IF($B18="","",IF($E18&lt;=$G18,MAX(0,$H18-$E18),0))</f>
        <v/>
      </c>
      <c r="N18" s="23">
        <f>IF($B18="","",$M18*$J18)</f>
        <v/>
      </c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23">
        <f>IF($B19="","",$E19*$J19)</f>
        <v/>
      </c>
      <c r="L19" s="7">
        <f>IF($B19="","",IF($E19&lt;=0,"Rutura",IF($E19&lt;=$F19,"Crítico",IF($E19&lt;=$G19,"Repor","OK"))))</f>
        <v/>
      </c>
      <c r="M19" s="28">
        <f>IF($B19="","",IF($E19&lt;=$G19,MAX(0,$H19-$E19),0))</f>
        <v/>
      </c>
      <c r="N19" s="23">
        <f>IF($B19="","",$M19*$J19)</f>
        <v/>
      </c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23">
        <f>IF($B20="","",$E20*$J20)</f>
        <v/>
      </c>
      <c r="L20" s="7">
        <f>IF($B20="","",IF($E20&lt;=0,"Rutura",IF($E20&lt;=$F20,"Crítico",IF($E20&lt;=$G20,"Repor","OK"))))</f>
        <v/>
      </c>
      <c r="M20" s="28">
        <f>IF($B20="","",IF($E20&lt;=$G20,MAX(0,$H20-$E20),0))</f>
        <v/>
      </c>
      <c r="N20" s="23">
        <f>IF($B20="","",$M20*$J20)</f>
        <v/>
      </c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23">
        <f>IF($B21="","",$E21*$J21)</f>
        <v/>
      </c>
      <c r="L21" s="7">
        <f>IF($B21="","",IF($E21&lt;=0,"Rutura",IF($E21&lt;=$F21,"Crítico",IF($E21&lt;=$G21,"Repor","OK"))))</f>
        <v/>
      </c>
      <c r="M21" s="28">
        <f>IF($B21="","",IF($E21&lt;=$G21,MAX(0,$H21-$E21),0))</f>
        <v/>
      </c>
      <c r="N21" s="23">
        <f>IF($B21="","",$M21*$J21)</f>
        <v/>
      </c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23">
        <f>IF($B22="","",$E22*$J22)</f>
        <v/>
      </c>
      <c r="L22" s="7">
        <f>IF($B22="","",IF($E22&lt;=0,"Rutura",IF($E22&lt;=$F22,"Crítico",IF($E22&lt;=$G22,"Repor","OK"))))</f>
        <v/>
      </c>
      <c r="M22" s="28">
        <f>IF($B22="","",IF($E22&lt;=$G22,MAX(0,$H22-$E22),0))</f>
        <v/>
      </c>
      <c r="N22" s="23">
        <f>IF($B22="","",$M22*$J22)</f>
        <v/>
      </c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23">
        <f>IF($B23="","",$E23*$J23)</f>
        <v/>
      </c>
      <c r="L23" s="7">
        <f>IF($B23="","",IF($E23&lt;=0,"Rutura",IF($E23&lt;=$F23,"Crítico",IF($E23&lt;=$G23,"Repor","OK"))))</f>
        <v/>
      </c>
      <c r="M23" s="28">
        <f>IF($B23="","",IF($E23&lt;=$G23,MAX(0,$H23-$E23),0))</f>
        <v/>
      </c>
      <c r="N23" s="23">
        <f>IF($B23="","",$M23*$J23)</f>
        <v/>
      </c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23">
        <f>IF($B24="","",$E24*$J24)</f>
        <v/>
      </c>
      <c r="L24" s="7">
        <f>IF($B24="","",IF($E24&lt;=0,"Rutura",IF($E24&lt;=$F24,"Crítico",IF($E24&lt;=$G24,"Repor","OK"))))</f>
        <v/>
      </c>
      <c r="M24" s="28">
        <f>IF($B24="","",IF($E24&lt;=$G24,MAX(0,$H24-$E24),0))</f>
        <v/>
      </c>
      <c r="N24" s="23">
        <f>IF($B24="","",$M24*$J24)</f>
        <v/>
      </c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23">
        <f>IF($B25="","",$E25*$J25)</f>
        <v/>
      </c>
      <c r="L25" s="7">
        <f>IF($B25="","",IF($E25&lt;=0,"Rutura",IF($E25&lt;=$F25,"Crítico",IF($E25&lt;=$G25,"Repor","OK"))))</f>
        <v/>
      </c>
      <c r="M25" s="28">
        <f>IF($B25="","",IF($E25&lt;=$G25,MAX(0,$H25-$E25),0))</f>
        <v/>
      </c>
      <c r="N25" s="23">
        <f>IF($B25="","",$M25*$J25)</f>
        <v/>
      </c>
    </row>
  </sheetData>
  <conditionalFormatting sqref="L5:L25">
    <cfRule type="cellIs" priority="1" operator="equal" dxfId="2">
      <formula>"Rutura"</formula>
    </cfRule>
    <cfRule type="cellIs" priority="2" operator="equal" dxfId="3">
      <formula>"Crítico"</formula>
    </cfRule>
    <cfRule type="cellIs" priority="3" operator="equal" dxfId="4">
      <formula>"Repor"</formula>
    </cfRule>
    <cfRule type="cellIs" priority="4" operator="equal" dxfId="5">
      <formula>"OK"</formula>
    </cfRule>
  </conditionalFormatting>
  <conditionalFormatting sqref="M5:M25">
    <cfRule type="cellIs" priority="5" operator="greaterThan" dxfId="6">
      <formula>0</formula>
    </cfRule>
  </conditionalFormatting>
  <dataValidations count="2">
    <dataValidation sqref="C5:C25" showDropDown="0" showInputMessage="0" showErrorMessage="0" allowBlank="1" type="list">
      <formula1>=Config!$E$4:$E$8</formula1>
    </dataValidation>
    <dataValidation sqref="D5:D25" showDropDown="0" showInputMessage="0" showErrorMessage="0" allowBlank="1" type="list">
      <formula1>=Config!$F$4:$F$8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2026-07-08T12:11:03Z</dcterms:created>
  <dcterms:modified xsi:type="dcterms:W3CDTF">2026-07-08T12:11:03Z</dcterms:modified>
</cp:coreProperties>
</file>